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" yWindow="108" windowWidth="18936" windowHeight="6840" activeTab="1"/>
  </bookViews>
  <sheets>
    <sheet name="2023" sheetId="1" r:id="rId1"/>
    <sheet name="Nam 202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0" i="2" l="1"/>
  <c r="F20" i="2"/>
  <c r="H19" i="2"/>
  <c r="G19" i="2"/>
  <c r="I19" i="2" s="1"/>
  <c r="F19" i="2"/>
  <c r="I18" i="2"/>
  <c r="I20" i="2"/>
  <c r="H18" i="2"/>
  <c r="G18" i="2"/>
  <c r="F18" i="2"/>
  <c r="H17" i="2"/>
  <c r="G17" i="2"/>
  <c r="I16" i="2" l="1"/>
  <c r="H16" i="2"/>
  <c r="G16" i="2"/>
  <c r="F16" i="2"/>
  <c r="I15" i="2"/>
  <c r="H15" i="2"/>
  <c r="G15" i="2"/>
  <c r="F15" i="2"/>
  <c r="H14" i="2"/>
  <c r="G14" i="2"/>
  <c r="F14" i="2"/>
  <c r="H13" i="2"/>
  <c r="G13" i="2"/>
  <c r="H12" i="2"/>
  <c r="G12" i="2"/>
  <c r="G10" i="2"/>
  <c r="I9" i="2"/>
  <c r="I11" i="2"/>
  <c r="F11" i="2"/>
  <c r="G11" i="2" s="1"/>
  <c r="J14" i="2"/>
  <c r="E21" i="2" l="1"/>
  <c r="I17" i="2"/>
  <c r="F17" i="2"/>
  <c r="I14" i="2"/>
  <c r="I13" i="2"/>
  <c r="L13" i="2" s="1"/>
  <c r="I12" i="2"/>
  <c r="F12" i="2"/>
  <c r="L10" i="2"/>
  <c r="I10" i="2"/>
  <c r="F10" i="2"/>
  <c r="H21" i="2"/>
  <c r="F9" i="2"/>
  <c r="G9" i="2" s="1"/>
  <c r="G21" i="2" s="1"/>
  <c r="F21" i="2" l="1"/>
  <c r="J21" i="2"/>
  <c r="I21" i="2"/>
  <c r="L9" i="2"/>
  <c r="K19" i="1"/>
  <c r="K16" i="1"/>
  <c r="I16" i="1"/>
  <c r="F19" i="1" l="1"/>
  <c r="G19" i="1"/>
  <c r="H19" i="1"/>
  <c r="I19" i="1"/>
  <c r="E19" i="1"/>
  <c r="F15" i="1"/>
  <c r="F14" i="1"/>
  <c r="K14" i="1"/>
  <c r="H14" i="1"/>
  <c r="G14" i="1"/>
  <c r="J14" i="1" s="1"/>
  <c r="K15" i="1"/>
  <c r="H15" i="1"/>
  <c r="G15" i="1"/>
  <c r="J15" i="1" s="1"/>
  <c r="F13" i="1"/>
  <c r="K13" i="1"/>
  <c r="H13" i="1"/>
  <c r="G13" i="1"/>
  <c r="J13" i="1" s="1"/>
  <c r="F12" i="1"/>
  <c r="H12" i="1"/>
  <c r="G12" i="1"/>
  <c r="J12" i="1" s="1"/>
  <c r="K12" i="1"/>
  <c r="F11" i="1"/>
  <c r="J11" i="1"/>
  <c r="H11" i="1"/>
  <c r="G11" i="1"/>
  <c r="G10" i="1"/>
  <c r="J10" i="1" s="1"/>
  <c r="H10" i="1"/>
  <c r="F10" i="1"/>
  <c r="G9" i="1"/>
  <c r="M13" i="1" l="1"/>
  <c r="H9" i="1" l="1"/>
  <c r="J9" i="1" l="1"/>
  <c r="M9" i="1"/>
  <c r="M10" i="1" l="1"/>
  <c r="F9" i="1"/>
  <c r="J19" i="1" l="1"/>
</calcChain>
</file>

<file path=xl/sharedStrings.xml><?xml version="1.0" encoding="utf-8"?>
<sst xmlns="http://schemas.openxmlformats.org/spreadsheetml/2006/main" count="80" uniqueCount="63">
  <si>
    <t>TT</t>
  </si>
  <si>
    <t>Danh mục dự án</t>
  </si>
  <si>
    <t xml:space="preserve">Ghi chú </t>
  </si>
  <si>
    <t>NTM</t>
  </si>
  <si>
    <t>DANH MỤC CÔNG TRÌNH ĐẦU TƯ CÔNG  NĂM 2023</t>
  </si>
  <si>
    <r>
      <t xml:space="preserve">ỦY BAN NHÂN DÂN 
</t>
    </r>
    <r>
      <rPr>
        <b/>
        <u/>
        <sz val="14"/>
        <rFont val="Times New Roman"/>
        <family val="1"/>
      </rPr>
      <t>XÃ CẨM LẠC</t>
    </r>
  </si>
  <si>
    <t>(Kèm theo Tờ trình số      /TTr- UBND ngày       tháng       năm 2022 của UBND xã Cẩm Lạc)</t>
  </si>
  <si>
    <t>Mã dự án</t>
  </si>
  <si>
    <t>Quyết định đầu tư</t>
  </si>
  <si>
    <t>Số quyết định, ngày tháng, năm ban hành</t>
  </si>
  <si>
    <t>Tổng số (tất cả các nguồn vốn)</t>
  </si>
  <si>
    <t>Trong đó: vốn NS xã</t>
  </si>
  <si>
    <t>Đơn vị tính: Đồng</t>
  </si>
  <si>
    <t>Tổng nhu cầu nguồn vốn</t>
  </si>
  <si>
    <t>Lũy kế vốn đã bố trí cho dự án đến hết ngày 31/6/2022</t>
  </si>
  <si>
    <t>Tổng số</t>
  </si>
  <si>
    <t>Trong đó: Năm 2022</t>
  </si>
  <si>
    <t>Số vốn còn thiếu đến ngày 31/6/2022</t>
  </si>
  <si>
    <t>Số vốn đề nghị phân bổ năm 2023</t>
  </si>
  <si>
    <t>Tổng cộng</t>
  </si>
  <si>
    <t>123/QĐ-UBND ngày 30/10/2019</t>
  </si>
  <si>
    <t>227/QĐ-UBND ngày 10/8/2020</t>
  </si>
  <si>
    <t xml:space="preserve">Công trình Cải tạo, nâng cấp hàng rào.Trường tiểu học </t>
  </si>
  <si>
    <t>Công trình nhà bia tưởng niệm</t>
  </si>
  <si>
    <t>Công trình hàng rào nhà bia tưởng niệm</t>
  </si>
  <si>
    <t>Công trình Đắp đất mở rộng lề đường trục chính xã</t>
  </si>
  <si>
    <t>Công trình Đường giao thông, mương thoát nước hạ tầng thôn Yên Lạc</t>
  </si>
  <si>
    <t>Công trình  Cải tạo, sữa chữa nhà học 2 tầng 8 phòng số 1 và nhà văn phòng 1 tầng trường Tiểu học</t>
  </si>
  <si>
    <t>Công trình  hạ tầng khu dân cư  phía đông thôn Yên Lạc</t>
  </si>
  <si>
    <t>Công trình cải tạo, nâng cấp đường Trung Lạc</t>
  </si>
  <si>
    <t>358/QĐ-UBND ngày 14/11/2020</t>
  </si>
  <si>
    <t>74/QĐ-UBND ngày 26/5/2021</t>
  </si>
  <si>
    <t>46/QĐ-UBND ngày 08/4/2021</t>
  </si>
  <si>
    <t>Công trình  Cải tạo, sữa chữa nhà học 2 tầng 8 phòng số 2 và nhà đa năng trường Tiểu học</t>
  </si>
  <si>
    <t>105/QĐ-UBND ngày02/7/2021</t>
  </si>
  <si>
    <t>106/QĐ-UBND ngày02/7/2021</t>
  </si>
  <si>
    <t>ỦY BAN NHÂN DÂN XÃ</t>
  </si>
  <si>
    <t>Chi quy hoạch trung tâm xã</t>
  </si>
  <si>
    <t>Công trình Cải tạo, nâng cấp đường trục xã TX38 xã Cẩm Lạc (đoạn từ cầu Truộc Nhăng đến kênh N01A sông Rác)</t>
  </si>
  <si>
    <t>Công trình trường học 2 tầng 4 phòng học trường Mầm non Cẩm Lạc</t>
  </si>
  <si>
    <t>Công trình sữa chữa nâng cấp Chợ Biền</t>
  </si>
  <si>
    <t>Công trình Trạm Y tế xã Cẩm Lạc</t>
  </si>
  <si>
    <t xml:space="preserve"> Công trình Khuôn viên ủy ban nhân dân xã Cẩm Lạc. Hạng mục: Sân nền và rãnh thoát nước</t>
  </si>
  <si>
    <t>Công trình Cầu Đồng Cháng thôn Trung Đoài, xã Cẩm Lạc</t>
  </si>
  <si>
    <t>Công trình Kênh tiêu thoát vùng quy hoạch dân cư Phú Đoài, xã Cẩm Lạc</t>
  </si>
  <si>
    <t>Công trình  Cải tạo, nâng cấp nhà làm việc 2 tầng trụ sở UBND xã Cẩm Lạc</t>
  </si>
  <si>
    <t>Công trình Đường giao thông và mương thoát nước khu hạ tầng thôn Yên Lạc</t>
  </si>
  <si>
    <t>Công trình nhà vệ sinh giáo viên trường THCS Minh Lạc</t>
  </si>
  <si>
    <t>Công trình vỉa hè, hàng rào trường Mầm non</t>
  </si>
  <si>
    <t>Công trình hạ tầng khu dân cư  phía đông thôn Yên Lạc</t>
  </si>
  <si>
    <t>Số vốn đề nghị bổ sung năm 2022</t>
  </si>
  <si>
    <t>23/QĐ-UBND ngày 28/02/2022</t>
  </si>
  <si>
    <t>74/QĐ-UBND ngày 04/06/2021</t>
  </si>
  <si>
    <t>206/QĐ-UBND ngày 14/12/2021</t>
  </si>
  <si>
    <t>81/QĐ-UBND ngày 20/6/2014</t>
  </si>
  <si>
    <t>349/QĐ-UBND ngày 21/10/2020</t>
  </si>
  <si>
    <t>4424/QĐ-UBND ngày28/10/2019</t>
  </si>
  <si>
    <t>237/QĐ-UBND ngày 03/9/2020</t>
  </si>
  <si>
    <t>124/QĐ-UBND ngày 30/10/2019</t>
  </si>
  <si>
    <t>235/QĐ-UBND ngày 03/9/2020</t>
  </si>
  <si>
    <t>359/QĐ-UBND ngày 14/11/2020</t>
  </si>
  <si>
    <t>DANH MỤC ĐIỀU CHỈNH BỔ SUNG CÔNG TRÌNH ĐẦU TƯ CÔNG  NĂM 2022</t>
  </si>
  <si>
    <t>(Kèm theo Tờ trình số   151   /TTr- UBND ngày     14  tháng    7   năm 2022 của UBND xã Cẩm Lạc)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</si>
</sst>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4"/>
      <color theme="1"/>
      <name val="Times New Roman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3"/>
      <color rgb="FF000000"/>
      <name val="Times New Roman"/>
      <family val="1"/>
    </font>
    <font>
      <i/>
      <sz val="16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i/>
      <sz val="14"/>
      <name val="Times New Roman"/>
      <family val="1"/>
    </font>
    <font>
      <b/>
      <u/>
      <sz val="14"/>
      <name val="Times New Roman"/>
      <family val="1"/>
    </font>
    <font>
      <sz val="14"/>
      <color theme="1"/>
      <name val="Times New Roman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6" fillId="0" borderId="2" xfId="0" applyFont="1" applyFill="1" applyBorder="1" applyAlignment="1">
      <alignment wrapText="1"/>
    </xf>
    <xf numFmtId="0" fontId="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6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right" vertical="center"/>
    </xf>
    <xf numFmtId="164" fontId="10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/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zoomScale="70" zoomScaleNormal="70" workbookViewId="0">
      <pane ySplit="5" topLeftCell="A15" activePane="bottomLeft" state="frozen"/>
      <selection activeCell="A4" sqref="A4"/>
      <selection pane="bottomLeft" activeCell="K13" sqref="K13"/>
    </sheetView>
  </sheetViews>
  <sheetFormatPr defaultColWidth="7.1796875" defaultRowHeight="16.8" x14ac:dyDescent="0.3"/>
  <cols>
    <col min="1" max="1" width="3.81640625" style="3" customWidth="1"/>
    <col min="2" max="2" width="30.453125" style="26" customWidth="1"/>
    <col min="3" max="3" width="9.453125" style="8" customWidth="1"/>
    <col min="4" max="4" width="13.81640625" style="8" customWidth="1"/>
    <col min="5" max="5" width="13.1796875" style="39" customWidth="1"/>
    <col min="6" max="6" width="13.453125" style="40" customWidth="1"/>
    <col min="7" max="7" width="13.6328125" style="41" customWidth="1"/>
    <col min="8" max="8" width="13.81640625" style="42" customWidth="1"/>
    <col min="9" max="9" width="12.81640625" style="42" customWidth="1"/>
    <col min="10" max="10" width="11.1796875" style="9" customWidth="1"/>
    <col min="11" max="11" width="12.7265625" style="9" customWidth="1"/>
    <col min="12" max="12" width="5.453125" style="10" customWidth="1"/>
    <col min="13" max="13" width="11.36328125" style="2" customWidth="1"/>
    <col min="14" max="16384" width="7.1796875" style="2"/>
  </cols>
  <sheetData>
    <row r="1" spans="1:13" ht="34.950000000000003" customHeight="1" x14ac:dyDescent="0.3">
      <c r="A1" s="52" t="s">
        <v>5</v>
      </c>
      <c r="B1" s="53"/>
      <c r="C1" s="1"/>
      <c r="D1" s="1"/>
      <c r="E1" s="29"/>
      <c r="F1" s="29"/>
      <c r="G1" s="29"/>
      <c r="H1" s="54"/>
      <c r="I1" s="54"/>
      <c r="J1" s="54"/>
      <c r="K1" s="54"/>
      <c r="L1" s="54"/>
    </row>
    <row r="2" spans="1:13" ht="10.050000000000001" customHeight="1" x14ac:dyDescent="0.3">
      <c r="A2" s="16"/>
      <c r="B2" s="23"/>
      <c r="C2" s="1"/>
      <c r="D2" s="1"/>
      <c r="E2" s="29"/>
      <c r="F2" s="29"/>
      <c r="G2" s="29"/>
      <c r="H2" s="30"/>
      <c r="I2" s="30"/>
      <c r="J2" s="19"/>
      <c r="K2" s="19"/>
      <c r="L2" s="17"/>
    </row>
    <row r="3" spans="1:13" s="21" customFormat="1" ht="18" x14ac:dyDescent="0.35">
      <c r="A3" s="53" t="s">
        <v>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s="21" customFormat="1" ht="18" x14ac:dyDescent="0.35">
      <c r="A4" s="55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ht="4.95" customHeight="1" x14ac:dyDescent="0.3">
      <c r="A5" s="20"/>
      <c r="B5" s="24"/>
      <c r="C5" s="20"/>
      <c r="D5" s="20"/>
      <c r="E5" s="31"/>
      <c r="F5" s="31"/>
      <c r="G5" s="31"/>
      <c r="H5" s="31"/>
      <c r="I5" s="31"/>
      <c r="J5" s="20"/>
      <c r="K5" s="20"/>
      <c r="L5" s="20"/>
    </row>
    <row r="6" spans="1:13" ht="17.55" customHeight="1" x14ac:dyDescent="0.3">
      <c r="B6" s="25"/>
      <c r="C6" s="3"/>
      <c r="D6" s="3"/>
      <c r="E6" s="32"/>
      <c r="F6" s="32"/>
      <c r="G6" s="32"/>
      <c r="H6" s="56" t="s">
        <v>12</v>
      </c>
      <c r="I6" s="56"/>
      <c r="J6" s="56"/>
      <c r="K6" s="56"/>
      <c r="L6" s="56"/>
    </row>
    <row r="7" spans="1:13" s="15" customFormat="1" ht="48" customHeight="1" x14ac:dyDescent="0.3">
      <c r="A7" s="58" t="s">
        <v>0</v>
      </c>
      <c r="B7" s="59" t="s">
        <v>1</v>
      </c>
      <c r="C7" s="58" t="s">
        <v>7</v>
      </c>
      <c r="D7" s="58" t="s">
        <v>8</v>
      </c>
      <c r="E7" s="58"/>
      <c r="F7" s="58"/>
      <c r="G7" s="60" t="s">
        <v>13</v>
      </c>
      <c r="H7" s="60" t="s">
        <v>14</v>
      </c>
      <c r="I7" s="60"/>
      <c r="J7" s="61" t="s">
        <v>17</v>
      </c>
      <c r="K7" s="61" t="s">
        <v>18</v>
      </c>
      <c r="L7" s="58" t="s">
        <v>2</v>
      </c>
      <c r="M7" s="57" t="s">
        <v>3</v>
      </c>
    </row>
    <row r="8" spans="1:13" s="15" customFormat="1" ht="62.55" customHeight="1" x14ac:dyDescent="0.3">
      <c r="A8" s="58"/>
      <c r="B8" s="59"/>
      <c r="C8" s="58"/>
      <c r="D8" s="18" t="s">
        <v>9</v>
      </c>
      <c r="E8" s="33" t="s">
        <v>10</v>
      </c>
      <c r="F8" s="34" t="s">
        <v>11</v>
      </c>
      <c r="G8" s="60"/>
      <c r="H8" s="33" t="s">
        <v>15</v>
      </c>
      <c r="I8" s="33" t="s">
        <v>16</v>
      </c>
      <c r="J8" s="62"/>
      <c r="K8" s="62"/>
      <c r="L8" s="58"/>
      <c r="M8" s="57"/>
    </row>
    <row r="9" spans="1:13" s="14" customFormat="1" ht="45.45" customHeight="1" x14ac:dyDescent="0.3">
      <c r="A9" s="11">
        <v>1</v>
      </c>
      <c r="B9" s="22" t="s">
        <v>23</v>
      </c>
      <c r="C9" s="11">
        <v>7817674</v>
      </c>
      <c r="D9" s="11" t="s">
        <v>20</v>
      </c>
      <c r="E9" s="35">
        <v>2435466000</v>
      </c>
      <c r="F9" s="36">
        <f t="shared" ref="F9:F15" si="0">+E9</f>
        <v>2435466000</v>
      </c>
      <c r="G9" s="37">
        <f>144878000+65707000+2091699000-30000</f>
        <v>2302254000</v>
      </c>
      <c r="H9" s="37">
        <f>144878000+1410300000+350000000+65707000</f>
        <v>1970885000</v>
      </c>
      <c r="I9" s="37"/>
      <c r="J9" s="13">
        <f t="shared" ref="J9:J15" si="1">+G9-H9</f>
        <v>331369000</v>
      </c>
      <c r="K9" s="13">
        <v>331369000</v>
      </c>
      <c r="L9" s="7"/>
      <c r="M9" s="43">
        <f>+G9-H9</f>
        <v>331369000</v>
      </c>
    </row>
    <row r="10" spans="1:13" s="14" customFormat="1" ht="45.45" customHeight="1" x14ac:dyDescent="0.3">
      <c r="A10" s="11">
        <v>2</v>
      </c>
      <c r="B10" s="22" t="s">
        <v>24</v>
      </c>
      <c r="C10" s="11">
        <v>7861227</v>
      </c>
      <c r="D10" s="11" t="s">
        <v>21</v>
      </c>
      <c r="E10" s="35">
        <v>250962000</v>
      </c>
      <c r="F10" s="36">
        <f t="shared" si="0"/>
        <v>250962000</v>
      </c>
      <c r="G10" s="37">
        <f>208073000+7266000+13303000</f>
        <v>228642000</v>
      </c>
      <c r="H10" s="37">
        <f>118300000+7266000+13303000</f>
        <v>138869000</v>
      </c>
      <c r="I10" s="37"/>
      <c r="J10" s="13">
        <f t="shared" si="1"/>
        <v>89773000</v>
      </c>
      <c r="K10" s="13">
        <v>89773000</v>
      </c>
      <c r="L10" s="7"/>
      <c r="M10" s="14">
        <f>10272-9096</f>
        <v>1176</v>
      </c>
    </row>
    <row r="11" spans="1:13" s="14" customFormat="1" ht="45.45" customHeight="1" x14ac:dyDescent="0.3">
      <c r="A11" s="11">
        <v>3</v>
      </c>
      <c r="B11" s="22" t="s">
        <v>22</v>
      </c>
      <c r="C11" s="11">
        <v>7881498</v>
      </c>
      <c r="D11" s="11" t="s">
        <v>30</v>
      </c>
      <c r="E11" s="35">
        <v>616833641</v>
      </c>
      <c r="F11" s="36">
        <f t="shared" si="0"/>
        <v>616833641</v>
      </c>
      <c r="G11" s="37">
        <f>17650000+510432000+32701000</f>
        <v>560783000</v>
      </c>
      <c r="H11" s="37">
        <f>17650000+480000000+32701000</f>
        <v>530351000</v>
      </c>
      <c r="I11" s="37"/>
      <c r="J11" s="13">
        <f t="shared" si="1"/>
        <v>30432000</v>
      </c>
      <c r="K11" s="13">
        <v>30432000</v>
      </c>
      <c r="L11" s="7"/>
    </row>
    <row r="12" spans="1:13" s="14" customFormat="1" ht="45.45" customHeight="1" x14ac:dyDescent="0.3">
      <c r="A12" s="11">
        <v>4</v>
      </c>
      <c r="B12" s="22" t="s">
        <v>25</v>
      </c>
      <c r="C12" s="11">
        <v>7903063</v>
      </c>
      <c r="D12" s="11" t="s">
        <v>31</v>
      </c>
      <c r="E12" s="35">
        <v>675192000</v>
      </c>
      <c r="F12" s="36">
        <f t="shared" si="0"/>
        <v>675192000</v>
      </c>
      <c r="G12" s="37">
        <f>16485000+42496000+445846000</f>
        <v>504827000</v>
      </c>
      <c r="H12" s="37">
        <f>42496000+440000000</f>
        <v>482496000</v>
      </c>
      <c r="I12" s="37"/>
      <c r="J12" s="13">
        <f t="shared" si="1"/>
        <v>22331000</v>
      </c>
      <c r="K12" s="13">
        <f>5846000+16485000</f>
        <v>22331000</v>
      </c>
      <c r="L12" s="7"/>
    </row>
    <row r="13" spans="1:13" s="14" customFormat="1" ht="45.45" customHeight="1" x14ac:dyDescent="0.3">
      <c r="A13" s="11">
        <v>5</v>
      </c>
      <c r="B13" s="22" t="s">
        <v>26</v>
      </c>
      <c r="C13" s="11">
        <v>7900749</v>
      </c>
      <c r="D13" s="11" t="s">
        <v>32</v>
      </c>
      <c r="E13" s="35">
        <v>1244449000</v>
      </c>
      <c r="F13" s="36">
        <f t="shared" si="0"/>
        <v>1244449000</v>
      </c>
      <c r="G13" s="13">
        <f>25532000+22494000+68884000+945285000</f>
        <v>1062195000</v>
      </c>
      <c r="H13" s="37">
        <f>68884000+890000000+55000000</f>
        <v>1013884000</v>
      </c>
      <c r="I13" s="37">
        <v>55000000</v>
      </c>
      <c r="J13" s="13">
        <f t="shared" si="1"/>
        <v>48311000</v>
      </c>
      <c r="K13" s="13">
        <f>25532000+22494000+285000</f>
        <v>48311000</v>
      </c>
      <c r="L13" s="7"/>
      <c r="M13" s="44">
        <f>+J13-K13</f>
        <v>0</v>
      </c>
    </row>
    <row r="14" spans="1:13" s="14" customFormat="1" ht="61.05" customHeight="1" x14ac:dyDescent="0.3">
      <c r="A14" s="11">
        <v>6</v>
      </c>
      <c r="B14" s="22" t="s">
        <v>27</v>
      </c>
      <c r="C14" s="11">
        <v>7909127</v>
      </c>
      <c r="D14" s="11" t="s">
        <v>34</v>
      </c>
      <c r="E14" s="35">
        <v>490792000</v>
      </c>
      <c r="F14" s="36">
        <f t="shared" si="0"/>
        <v>490792000</v>
      </c>
      <c r="G14" s="37">
        <f>30198000+392972000+13271000+11932000+1326000</f>
        <v>449699000</v>
      </c>
      <c r="H14" s="37">
        <f>370000000+30198000</f>
        <v>400198000</v>
      </c>
      <c r="I14" s="37"/>
      <c r="J14" s="13">
        <f t="shared" si="1"/>
        <v>49501000</v>
      </c>
      <c r="K14" s="13">
        <f>22972000+13271000+11932000+1326000</f>
        <v>49501000</v>
      </c>
      <c r="L14" s="7"/>
    </row>
    <row r="15" spans="1:13" s="14" customFormat="1" ht="62.55" customHeight="1" x14ac:dyDescent="0.3">
      <c r="A15" s="11">
        <v>7</v>
      </c>
      <c r="B15" s="22" t="s">
        <v>33</v>
      </c>
      <c r="C15" s="11">
        <v>7909126</v>
      </c>
      <c r="D15" s="11" t="s">
        <v>35</v>
      </c>
      <c r="E15" s="35">
        <v>448191000</v>
      </c>
      <c r="F15" s="36">
        <f t="shared" si="0"/>
        <v>448191000</v>
      </c>
      <c r="G15" s="37">
        <f>27563000+357676000+12113000+11933000</f>
        <v>409285000</v>
      </c>
      <c r="H15" s="37">
        <f>340000000+27563000</f>
        <v>367563000</v>
      </c>
      <c r="I15" s="37"/>
      <c r="J15" s="13">
        <f t="shared" si="1"/>
        <v>41722000</v>
      </c>
      <c r="K15" s="13">
        <f>17676000+12113000+11933000</f>
        <v>41722000</v>
      </c>
      <c r="L15" s="7"/>
    </row>
    <row r="16" spans="1:13" s="14" customFormat="1" ht="45.45" customHeight="1" x14ac:dyDescent="0.35">
      <c r="A16" s="11">
        <v>8</v>
      </c>
      <c r="B16" s="12" t="s">
        <v>28</v>
      </c>
      <c r="C16" s="11"/>
      <c r="D16" s="11"/>
      <c r="E16" s="35"/>
      <c r="F16" s="36"/>
      <c r="G16" s="37">
        <v>2465000000</v>
      </c>
      <c r="H16" s="37">
        <v>1000000000</v>
      </c>
      <c r="I16" s="37">
        <f>+H16</f>
        <v>1000000000</v>
      </c>
      <c r="J16" s="13"/>
      <c r="K16" s="13">
        <f>+G16-H16</f>
        <v>1465000000</v>
      </c>
      <c r="L16" s="7"/>
    </row>
    <row r="17" spans="1:12" s="14" customFormat="1" ht="45.45" customHeight="1" x14ac:dyDescent="0.35">
      <c r="A17" s="11">
        <v>9</v>
      </c>
      <c r="B17" s="12" t="s">
        <v>29</v>
      </c>
      <c r="C17" s="11"/>
      <c r="D17" s="11"/>
      <c r="E17" s="35"/>
      <c r="F17" s="36"/>
      <c r="G17" s="13">
        <v>4000000000</v>
      </c>
      <c r="H17" s="37"/>
      <c r="I17" s="37"/>
      <c r="J17" s="13"/>
      <c r="K17" s="13">
        <v>4000000000</v>
      </c>
      <c r="L17" s="7"/>
    </row>
    <row r="18" spans="1:12" s="14" customFormat="1" ht="38.549999999999997" customHeight="1" x14ac:dyDescent="0.35">
      <c r="A18" s="11">
        <v>10</v>
      </c>
      <c r="B18" s="12" t="s">
        <v>37</v>
      </c>
      <c r="C18" s="11"/>
      <c r="D18" s="11"/>
      <c r="E18" s="35"/>
      <c r="F18" s="36"/>
      <c r="G18" s="13">
        <v>361049000</v>
      </c>
      <c r="H18" s="37"/>
      <c r="I18" s="37"/>
      <c r="J18" s="13"/>
      <c r="K18" s="13">
        <v>361049000</v>
      </c>
      <c r="L18" s="7"/>
    </row>
    <row r="19" spans="1:12" s="28" customFormat="1" ht="38.549999999999997" customHeight="1" x14ac:dyDescent="0.35">
      <c r="A19" s="4"/>
      <c r="B19" s="27" t="s">
        <v>19</v>
      </c>
      <c r="C19" s="4"/>
      <c r="D19" s="4"/>
      <c r="E19" s="38">
        <f>SUM(E9:E18)</f>
        <v>6161885641</v>
      </c>
      <c r="F19" s="38">
        <f t="shared" ref="F19:I19" si="2">SUM(F9:F18)</f>
        <v>6161885641</v>
      </c>
      <c r="G19" s="38">
        <f t="shared" si="2"/>
        <v>12343734000</v>
      </c>
      <c r="H19" s="38">
        <f t="shared" si="2"/>
        <v>5904246000</v>
      </c>
      <c r="I19" s="38">
        <f t="shared" si="2"/>
        <v>1055000000</v>
      </c>
      <c r="J19" s="6">
        <f>SUM(J9:J18)</f>
        <v>613439000</v>
      </c>
      <c r="K19" s="6">
        <f>SUM(K9:K18)</f>
        <v>6439488000</v>
      </c>
      <c r="L19" s="5"/>
    </row>
    <row r="20" spans="1:12" x14ac:dyDescent="0.3">
      <c r="F20" s="51" t="s">
        <v>36</v>
      </c>
      <c r="G20" s="51"/>
      <c r="H20" s="51"/>
      <c r="I20" s="51"/>
      <c r="J20" s="51"/>
      <c r="K20" s="51"/>
    </row>
  </sheetData>
  <mergeCells count="16">
    <mergeCell ref="M7:M8"/>
    <mergeCell ref="A7:A8"/>
    <mergeCell ref="B7:B8"/>
    <mergeCell ref="C7:C8"/>
    <mergeCell ref="G7:G8"/>
    <mergeCell ref="H7:I7"/>
    <mergeCell ref="D7:F7"/>
    <mergeCell ref="J7:J8"/>
    <mergeCell ref="K7:K8"/>
    <mergeCell ref="L7:L8"/>
    <mergeCell ref="F20:K20"/>
    <mergeCell ref="A1:B1"/>
    <mergeCell ref="H1:L1"/>
    <mergeCell ref="A3:L3"/>
    <mergeCell ref="A4:L4"/>
    <mergeCell ref="H6:L6"/>
  </mergeCells>
  <pageMargins left="0.33" right="0.25" top="0.25" bottom="0.25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65" zoomScaleNormal="65" workbookViewId="0">
      <selection activeCell="A4" sqref="A4:K4"/>
    </sheetView>
  </sheetViews>
  <sheetFormatPr defaultColWidth="7.1796875" defaultRowHeight="16.8" x14ac:dyDescent="0.3"/>
  <cols>
    <col min="1" max="1" width="3.81640625" style="3" customWidth="1"/>
    <col min="2" max="2" width="30.453125" style="26" customWidth="1"/>
    <col min="3" max="3" width="9.453125" style="8" customWidth="1"/>
    <col min="4" max="4" width="13.81640625" style="8" customWidth="1"/>
    <col min="5" max="5" width="15.54296875" style="39" customWidth="1"/>
    <col min="6" max="6" width="14.90625" style="40" customWidth="1"/>
    <col min="7" max="7" width="14.90625" style="41" customWidth="1"/>
    <col min="8" max="8" width="19.08984375" style="42" customWidth="1"/>
    <col min="9" max="9" width="14.08984375" style="9" customWidth="1"/>
    <col min="10" max="10" width="12.7265625" style="9" customWidth="1"/>
    <col min="11" max="11" width="5.453125" style="10" customWidth="1"/>
    <col min="12" max="12" width="11.36328125" style="2" customWidth="1"/>
    <col min="13" max="16384" width="7.1796875" style="2"/>
  </cols>
  <sheetData>
    <row r="1" spans="1:12" ht="34.950000000000003" customHeight="1" x14ac:dyDescent="0.3">
      <c r="A1" s="52" t="s">
        <v>5</v>
      </c>
      <c r="B1" s="53"/>
      <c r="C1" s="1"/>
      <c r="D1" s="1"/>
      <c r="E1" s="29"/>
      <c r="F1" s="29"/>
      <c r="G1" s="29"/>
      <c r="H1" s="54"/>
      <c r="I1" s="54"/>
      <c r="J1" s="54"/>
      <c r="K1" s="54"/>
    </row>
    <row r="2" spans="1:12" ht="10.050000000000001" customHeight="1" x14ac:dyDescent="0.3">
      <c r="A2" s="16"/>
      <c r="B2" s="23"/>
      <c r="C2" s="1"/>
      <c r="D2" s="1"/>
      <c r="E2" s="29"/>
      <c r="F2" s="29"/>
      <c r="G2" s="29"/>
      <c r="H2" s="30"/>
      <c r="I2" s="45"/>
      <c r="J2" s="45"/>
      <c r="K2" s="45"/>
    </row>
    <row r="3" spans="1:12" s="21" customFormat="1" ht="18" x14ac:dyDescent="0.35">
      <c r="A3" s="53" t="s">
        <v>61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s="21" customFormat="1" ht="18" x14ac:dyDescent="0.35">
      <c r="A4" s="55" t="s">
        <v>62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4.95" customHeight="1" x14ac:dyDescent="0.3">
      <c r="A5" s="20"/>
      <c r="B5" s="24"/>
      <c r="C5" s="20"/>
      <c r="D5" s="20"/>
      <c r="E5" s="31"/>
      <c r="F5" s="31"/>
      <c r="G5" s="31"/>
      <c r="H5" s="31"/>
      <c r="I5" s="20"/>
      <c r="J5" s="20"/>
      <c r="K5" s="20"/>
    </row>
    <row r="6" spans="1:12" ht="17.55" customHeight="1" x14ac:dyDescent="0.3">
      <c r="B6" s="25"/>
      <c r="C6" s="3"/>
      <c r="D6" s="3"/>
      <c r="E6" s="32"/>
      <c r="F6" s="32"/>
      <c r="G6" s="32"/>
      <c r="H6" s="56" t="s">
        <v>12</v>
      </c>
      <c r="I6" s="56"/>
      <c r="J6" s="56"/>
      <c r="K6" s="56"/>
    </row>
    <row r="7" spans="1:12" s="15" customFormat="1" ht="48" customHeight="1" x14ac:dyDescent="0.3">
      <c r="A7" s="58" t="s">
        <v>0</v>
      </c>
      <c r="B7" s="59" t="s">
        <v>1</v>
      </c>
      <c r="C7" s="58" t="s">
        <v>7</v>
      </c>
      <c r="D7" s="58" t="s">
        <v>8</v>
      </c>
      <c r="E7" s="58"/>
      <c r="F7" s="58"/>
      <c r="G7" s="60" t="s">
        <v>13</v>
      </c>
      <c r="H7" s="63" t="s">
        <v>14</v>
      </c>
      <c r="I7" s="61" t="s">
        <v>17</v>
      </c>
      <c r="J7" s="61" t="s">
        <v>50</v>
      </c>
      <c r="K7" s="58" t="s">
        <v>2</v>
      </c>
      <c r="L7" s="57" t="s">
        <v>3</v>
      </c>
    </row>
    <row r="8" spans="1:12" s="15" customFormat="1" ht="62.55" customHeight="1" x14ac:dyDescent="0.3">
      <c r="A8" s="58"/>
      <c r="B8" s="59"/>
      <c r="C8" s="58"/>
      <c r="D8" s="46" t="s">
        <v>9</v>
      </c>
      <c r="E8" s="48" t="s">
        <v>10</v>
      </c>
      <c r="F8" s="48" t="s">
        <v>11</v>
      </c>
      <c r="G8" s="60"/>
      <c r="H8" s="64"/>
      <c r="I8" s="62"/>
      <c r="J8" s="62"/>
      <c r="K8" s="58"/>
      <c r="L8" s="57"/>
    </row>
    <row r="9" spans="1:12" s="14" customFormat="1" ht="64.05" customHeight="1" x14ac:dyDescent="0.35">
      <c r="A9" s="11">
        <v>1</v>
      </c>
      <c r="B9" s="49" t="s">
        <v>38</v>
      </c>
      <c r="C9" s="11">
        <v>7935152</v>
      </c>
      <c r="D9" s="11" t="s">
        <v>52</v>
      </c>
      <c r="E9" s="35">
        <v>4990000000</v>
      </c>
      <c r="F9" s="36">
        <f t="shared" ref="F9:F17" si="0">+E9</f>
        <v>4990000000</v>
      </c>
      <c r="G9" s="37">
        <f>+F9</f>
        <v>4990000000</v>
      </c>
      <c r="H9" s="37">
        <v>4000000000</v>
      </c>
      <c r="I9" s="13">
        <f t="shared" ref="I9:I20" si="1">+G9-H9</f>
        <v>990000000</v>
      </c>
      <c r="J9" s="50">
        <v>450000000</v>
      </c>
      <c r="K9" s="7"/>
      <c r="L9" s="43">
        <f>+G9-H9</f>
        <v>990000000</v>
      </c>
    </row>
    <row r="10" spans="1:12" s="14" customFormat="1" ht="45.45" customHeight="1" x14ac:dyDescent="0.35">
      <c r="A10" s="11">
        <v>2</v>
      </c>
      <c r="B10" s="49" t="s">
        <v>39</v>
      </c>
      <c r="C10" s="11">
        <v>7936650</v>
      </c>
      <c r="D10" s="11" t="s">
        <v>53</v>
      </c>
      <c r="E10" s="35">
        <v>5687624000</v>
      </c>
      <c r="F10" s="36">
        <f t="shared" si="0"/>
        <v>5687624000</v>
      </c>
      <c r="G10" s="37">
        <f>+F10</f>
        <v>5687624000</v>
      </c>
      <c r="H10" s="37">
        <v>3000000000</v>
      </c>
      <c r="I10" s="13">
        <f t="shared" si="1"/>
        <v>2687624000</v>
      </c>
      <c r="J10" s="50">
        <v>1500000000</v>
      </c>
      <c r="K10" s="7"/>
      <c r="L10" s="14">
        <f>10272-9096</f>
        <v>1176</v>
      </c>
    </row>
    <row r="11" spans="1:12" s="14" customFormat="1" ht="45.45" customHeight="1" x14ac:dyDescent="0.35">
      <c r="A11" s="11">
        <v>3</v>
      </c>
      <c r="B11" s="49" t="s">
        <v>40</v>
      </c>
      <c r="C11" s="11">
        <v>7946781</v>
      </c>
      <c r="D11" s="11" t="s">
        <v>51</v>
      </c>
      <c r="E11" s="35">
        <v>262663000</v>
      </c>
      <c r="F11" s="36">
        <f t="shared" ref="F11" si="2">+E11</f>
        <v>262663000</v>
      </c>
      <c r="G11" s="37">
        <f>+F11</f>
        <v>262663000</v>
      </c>
      <c r="H11" s="37">
        <v>100000000</v>
      </c>
      <c r="I11" s="13">
        <f t="shared" si="1"/>
        <v>162663000</v>
      </c>
      <c r="J11" s="50">
        <v>150000000</v>
      </c>
      <c r="K11" s="7"/>
    </row>
    <row r="12" spans="1:12" s="14" customFormat="1" ht="45.45" customHeight="1" x14ac:dyDescent="0.35">
      <c r="A12" s="11">
        <v>4</v>
      </c>
      <c r="B12" s="49" t="s">
        <v>41</v>
      </c>
      <c r="C12" s="11">
        <v>7469528</v>
      </c>
      <c r="D12" s="11" t="s">
        <v>54</v>
      </c>
      <c r="E12" s="35">
        <v>1512440045</v>
      </c>
      <c r="F12" s="36">
        <f t="shared" si="0"/>
        <v>1512440045</v>
      </c>
      <c r="G12" s="37">
        <f>1143450000+7885000+113184000</f>
        <v>1264519000</v>
      </c>
      <c r="H12" s="37">
        <f>+G12-152450000</f>
        <v>1112069000</v>
      </c>
      <c r="I12" s="13">
        <f t="shared" si="1"/>
        <v>152450000</v>
      </c>
      <c r="J12" s="50">
        <v>150000000</v>
      </c>
      <c r="K12" s="7"/>
    </row>
    <row r="13" spans="1:12" s="14" customFormat="1" ht="49.05" customHeight="1" x14ac:dyDescent="0.35">
      <c r="A13" s="11">
        <v>5</v>
      </c>
      <c r="B13" s="49" t="s">
        <v>42</v>
      </c>
      <c r="C13" s="11">
        <v>7881493</v>
      </c>
      <c r="D13" s="11" t="s">
        <v>55</v>
      </c>
      <c r="E13" s="35">
        <v>680661000</v>
      </c>
      <c r="F13" s="36">
        <v>7881493000</v>
      </c>
      <c r="G13" s="13">
        <f>680661000+13385000+52371000</f>
        <v>746417000</v>
      </c>
      <c r="H13" s="13">
        <f>600000000+13385000+52371000</f>
        <v>665756000</v>
      </c>
      <c r="I13" s="13">
        <f t="shared" si="1"/>
        <v>80661000</v>
      </c>
      <c r="J13" s="50">
        <v>80000000</v>
      </c>
      <c r="K13" s="7"/>
      <c r="L13" s="44">
        <f>+I13-J13</f>
        <v>661000</v>
      </c>
    </row>
    <row r="14" spans="1:12" s="14" customFormat="1" ht="61.05" customHeight="1" x14ac:dyDescent="0.35">
      <c r="A14" s="11">
        <v>6</v>
      </c>
      <c r="B14" s="49" t="s">
        <v>43</v>
      </c>
      <c r="C14" s="11">
        <v>7844488</v>
      </c>
      <c r="D14" s="11" t="s">
        <v>56</v>
      </c>
      <c r="E14" s="35">
        <v>1926285000</v>
      </c>
      <c r="F14" s="36">
        <f>+E14-1020812000</f>
        <v>905473000</v>
      </c>
      <c r="G14" s="37">
        <f>150260000+47790000+1487541000</f>
        <v>1685591000</v>
      </c>
      <c r="H14" s="37">
        <f>150260000+47790000+1200000000+175812000</f>
        <v>1573862000</v>
      </c>
      <c r="I14" s="13">
        <f t="shared" si="1"/>
        <v>111729000</v>
      </c>
      <c r="J14" s="50">
        <f>100000000-43200000</f>
        <v>56800000</v>
      </c>
      <c r="K14" s="7"/>
    </row>
    <row r="15" spans="1:12" s="14" customFormat="1" ht="61.05" customHeight="1" x14ac:dyDescent="0.35">
      <c r="A15" s="11">
        <v>7</v>
      </c>
      <c r="B15" s="49" t="s">
        <v>44</v>
      </c>
      <c r="C15" s="11">
        <v>7881502</v>
      </c>
      <c r="D15" s="11" t="s">
        <v>57</v>
      </c>
      <c r="E15" s="35">
        <v>979837000</v>
      </c>
      <c r="F15" s="36">
        <f>+E15</f>
        <v>979837000</v>
      </c>
      <c r="G15" s="37">
        <f>20969000+766801000+62821000</f>
        <v>850591000</v>
      </c>
      <c r="H15" s="37">
        <f>20969000+720000000+62821000</f>
        <v>803790000</v>
      </c>
      <c r="I15" s="13">
        <f t="shared" si="1"/>
        <v>46801000</v>
      </c>
      <c r="J15" s="50">
        <v>45000000</v>
      </c>
      <c r="K15" s="7"/>
    </row>
    <row r="16" spans="1:12" s="14" customFormat="1" ht="61.05" customHeight="1" x14ac:dyDescent="0.35">
      <c r="A16" s="11">
        <v>8</v>
      </c>
      <c r="B16" s="49" t="s">
        <v>45</v>
      </c>
      <c r="C16" s="11">
        <v>7851800</v>
      </c>
      <c r="D16" s="11" t="s">
        <v>58</v>
      </c>
      <c r="E16" s="35">
        <v>1000084119</v>
      </c>
      <c r="F16" s="36">
        <f>+E16</f>
        <v>1000084119</v>
      </c>
      <c r="G16" s="37">
        <f>28114000+52316000+830164000</f>
        <v>910594000</v>
      </c>
      <c r="H16" s="37">
        <f>28114000+52316000+700000000</f>
        <v>780430000</v>
      </c>
      <c r="I16" s="13">
        <f t="shared" si="1"/>
        <v>130164000</v>
      </c>
      <c r="J16" s="50">
        <v>120000000</v>
      </c>
      <c r="K16" s="7"/>
    </row>
    <row r="17" spans="1:11" s="14" customFormat="1" ht="62.55" customHeight="1" x14ac:dyDescent="0.35">
      <c r="A17" s="11">
        <v>9</v>
      </c>
      <c r="B17" s="49" t="s">
        <v>46</v>
      </c>
      <c r="C17" s="11">
        <v>7900749</v>
      </c>
      <c r="D17" s="11" t="s">
        <v>32</v>
      </c>
      <c r="E17" s="35">
        <v>1244449000</v>
      </c>
      <c r="F17" s="36">
        <f t="shared" si="0"/>
        <v>1244449000</v>
      </c>
      <c r="G17" s="37">
        <f>945285000+25532000+22494000+68884000</f>
        <v>1062195000</v>
      </c>
      <c r="H17" s="37">
        <f>890000000+68884000</f>
        <v>958884000</v>
      </c>
      <c r="I17" s="13">
        <f t="shared" si="1"/>
        <v>103311000</v>
      </c>
      <c r="J17" s="50">
        <v>55000000</v>
      </c>
      <c r="K17" s="7"/>
    </row>
    <row r="18" spans="1:11" s="14" customFormat="1" ht="45.45" customHeight="1" x14ac:dyDescent="0.35">
      <c r="A18" s="11">
        <v>10</v>
      </c>
      <c r="B18" s="49" t="s">
        <v>47</v>
      </c>
      <c r="C18" s="11">
        <v>7861635</v>
      </c>
      <c r="D18" s="11" t="s">
        <v>59</v>
      </c>
      <c r="E18" s="35">
        <v>340403000</v>
      </c>
      <c r="F18" s="36">
        <f>+E18</f>
        <v>340403000</v>
      </c>
      <c r="G18" s="37">
        <f>246840000+6913000</f>
        <v>253753000</v>
      </c>
      <c r="H18" s="37">
        <f>230000000+6913000</f>
        <v>236913000</v>
      </c>
      <c r="I18" s="13">
        <f t="shared" si="1"/>
        <v>16840000</v>
      </c>
      <c r="J18" s="50">
        <v>16800000</v>
      </c>
      <c r="K18" s="7"/>
    </row>
    <row r="19" spans="1:11" s="14" customFormat="1" ht="50.4" x14ac:dyDescent="0.35">
      <c r="A19" s="11">
        <v>11</v>
      </c>
      <c r="B19" s="49" t="s">
        <v>48</v>
      </c>
      <c r="C19" s="11">
        <v>7881501</v>
      </c>
      <c r="D19" s="11" t="s">
        <v>60</v>
      </c>
      <c r="E19" s="35">
        <v>582066000</v>
      </c>
      <c r="F19" s="36">
        <f>+E19</f>
        <v>582066000</v>
      </c>
      <c r="G19" s="13">
        <f>426496000+29437000</f>
        <v>455933000</v>
      </c>
      <c r="H19" s="13">
        <f>400000000+29437000</f>
        <v>429437000</v>
      </c>
      <c r="I19" s="13">
        <f t="shared" si="1"/>
        <v>26496000</v>
      </c>
      <c r="J19" s="50">
        <v>26400000</v>
      </c>
      <c r="K19" s="7"/>
    </row>
    <row r="20" spans="1:11" s="14" customFormat="1" ht="33.6" x14ac:dyDescent="0.35">
      <c r="A20" s="11">
        <v>12</v>
      </c>
      <c r="B20" s="49" t="s">
        <v>49</v>
      </c>
      <c r="C20" s="11"/>
      <c r="D20" s="11"/>
      <c r="E20" s="35">
        <v>2465000000</v>
      </c>
      <c r="F20" s="36">
        <f>+E20</f>
        <v>2465000000</v>
      </c>
      <c r="G20" s="13">
        <f>+F20</f>
        <v>2465000000</v>
      </c>
      <c r="H20" s="37"/>
      <c r="I20" s="13">
        <f t="shared" si="1"/>
        <v>2465000000</v>
      </c>
      <c r="J20" s="50">
        <v>1000000000</v>
      </c>
      <c r="K20" s="7"/>
    </row>
    <row r="21" spans="1:11" s="28" customFormat="1" ht="28.95" customHeight="1" x14ac:dyDescent="0.35">
      <c r="A21" s="47"/>
      <c r="B21" s="27" t="s">
        <v>19</v>
      </c>
      <c r="C21" s="47"/>
      <c r="D21" s="47"/>
      <c r="E21" s="38">
        <f>SUM(E9:E20)</f>
        <v>21671512164</v>
      </c>
      <c r="F21" s="38">
        <f t="shared" ref="F21:H21" si="3">SUM(F9:F20)</f>
        <v>27851532164</v>
      </c>
      <c r="G21" s="38">
        <f t="shared" si="3"/>
        <v>20634880000</v>
      </c>
      <c r="H21" s="38">
        <f t="shared" si="3"/>
        <v>13661141000</v>
      </c>
      <c r="I21" s="6">
        <f>SUM(I9:I20)</f>
        <v>6973739000</v>
      </c>
      <c r="J21" s="6">
        <f>SUM(J9:J20)</f>
        <v>3650000000</v>
      </c>
      <c r="K21" s="5"/>
    </row>
    <row r="22" spans="1:11" x14ac:dyDescent="0.3">
      <c r="F22" s="51" t="s">
        <v>36</v>
      </c>
      <c r="G22" s="51"/>
      <c r="H22" s="51"/>
      <c r="I22" s="51"/>
      <c r="J22" s="51"/>
    </row>
  </sheetData>
  <mergeCells count="16">
    <mergeCell ref="A7:A8"/>
    <mergeCell ref="B7:B8"/>
    <mergeCell ref="C7:C8"/>
    <mergeCell ref="D7:F7"/>
    <mergeCell ref="G7:G8"/>
    <mergeCell ref="A1:B1"/>
    <mergeCell ref="H1:K1"/>
    <mergeCell ref="A3:K3"/>
    <mergeCell ref="A4:K4"/>
    <mergeCell ref="H6:K6"/>
    <mergeCell ref="I7:I8"/>
    <mergeCell ref="J7:J8"/>
    <mergeCell ref="K7:K8"/>
    <mergeCell ref="L7:L8"/>
    <mergeCell ref="F22:J22"/>
    <mergeCell ref="H7:H8"/>
  </mergeCells>
  <pageMargins left="0" right="0" top="0.5" bottom="0.5" header="0" footer="0"/>
  <pageSetup paperSize="9"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Nam 2022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 HIEN</cp:lastModifiedBy>
  <cp:lastPrinted>2022-07-06T09:49:12Z</cp:lastPrinted>
  <dcterms:created xsi:type="dcterms:W3CDTF">2021-12-21T01:49:03Z</dcterms:created>
  <dcterms:modified xsi:type="dcterms:W3CDTF">2022-07-14T02:28:14Z</dcterms:modified>
</cp:coreProperties>
</file>